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6FAD11D9-F20E-419C-8F27-E8F5DA5A9B62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HR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3" l="1"/>
  <c r="H38" i="13"/>
  <c r="B37" i="13"/>
  <c r="B36" i="13"/>
  <c r="B35" i="13"/>
  <c r="B34" i="13"/>
  <c r="B33" i="13"/>
  <c r="B32" i="13"/>
  <c r="B31" i="13"/>
  <c r="B30" i="13"/>
  <c r="B29" i="13"/>
  <c r="B28" i="13"/>
  <c r="B27" i="13"/>
  <c r="H26" i="13"/>
  <c r="B26" i="13"/>
  <c r="B25" i="13"/>
  <c r="H24" i="13"/>
  <c r="B24" i="13"/>
  <c r="H23" i="13"/>
  <c r="B23" i="13"/>
  <c r="B22" i="13"/>
  <c r="B21" i="13"/>
  <c r="H20" i="13"/>
  <c r="B20" i="13"/>
  <c r="B19" i="13"/>
  <c r="H18" i="13"/>
  <c r="B18" i="13"/>
  <c r="H17" i="13"/>
  <c r="B17" i="13"/>
  <c r="H16" i="13"/>
  <c r="B16" i="13"/>
  <c r="H15" i="13"/>
  <c r="B14" i="13"/>
  <c r="B13" i="13"/>
  <c r="H12" i="13"/>
  <c r="B12" i="13"/>
  <c r="H11" i="13"/>
  <c r="B11" i="13"/>
  <c r="B10" i="13"/>
  <c r="B9" i="13"/>
  <c r="B8" i="13"/>
  <c r="B7" i="13"/>
  <c r="H39" i="13" l="1"/>
  <c r="I11" i="13" s="1"/>
  <c r="J11" i="13" s="1"/>
  <c r="B39" i="13"/>
  <c r="C9" i="13" s="1"/>
  <c r="D9" i="13" s="1"/>
  <c r="I20" i="13" l="1"/>
  <c r="J20" i="13" s="1"/>
  <c r="I24" i="13"/>
  <c r="J24" i="13" s="1"/>
  <c r="J41" i="13"/>
  <c r="I26" i="13"/>
  <c r="J26" i="13" s="1"/>
  <c r="I27" i="13"/>
  <c r="J27" i="13" s="1"/>
  <c r="I29" i="13"/>
  <c r="J29" i="13" s="1"/>
  <c r="I38" i="13"/>
  <c r="J38" i="13" s="1"/>
  <c r="I12" i="13"/>
  <c r="J12" i="13" s="1"/>
  <c r="I15" i="13"/>
  <c r="J15" i="13" s="1"/>
  <c r="I16" i="13"/>
  <c r="J16" i="13" s="1"/>
  <c r="I17" i="13"/>
  <c r="J17" i="13" s="1"/>
  <c r="I18" i="13"/>
  <c r="J18" i="13" s="1"/>
  <c r="I23" i="13"/>
  <c r="J23" i="13" s="1"/>
  <c r="I10" i="13"/>
  <c r="J10" i="13" s="1"/>
  <c r="I28" i="13"/>
  <c r="J28" i="13" s="1"/>
  <c r="I37" i="13"/>
  <c r="J37" i="13" s="1"/>
  <c r="I7" i="13"/>
  <c r="I8" i="13"/>
  <c r="J8" i="13" s="1"/>
  <c r="I14" i="13"/>
  <c r="J14" i="13" s="1"/>
  <c r="I19" i="13"/>
  <c r="J19" i="13" s="1"/>
  <c r="I21" i="13"/>
  <c r="J21" i="13" s="1"/>
  <c r="I22" i="13"/>
  <c r="J22" i="13" s="1"/>
  <c r="I30" i="13"/>
  <c r="J30" i="13" s="1"/>
  <c r="I31" i="13"/>
  <c r="J31" i="13" s="1"/>
  <c r="I36" i="13"/>
  <c r="J36" i="13" s="1"/>
  <c r="I13" i="13"/>
  <c r="J13" i="13" s="1"/>
  <c r="I9" i="13"/>
  <c r="J9" i="13" s="1"/>
  <c r="I25" i="13"/>
  <c r="J25" i="13" s="1"/>
  <c r="I32" i="13"/>
  <c r="J32" i="13" s="1"/>
  <c r="I33" i="13"/>
  <c r="J33" i="13" s="1"/>
  <c r="I34" i="13"/>
  <c r="J34" i="13" s="1"/>
  <c r="I35" i="13"/>
  <c r="J35" i="13" s="1"/>
  <c r="C8" i="13"/>
  <c r="D8" i="13" s="1"/>
  <c r="C11" i="13"/>
  <c r="D11" i="13" s="1"/>
  <c r="C16" i="13"/>
  <c r="D16" i="13" s="1"/>
  <c r="C17" i="13"/>
  <c r="D17" i="13" s="1"/>
  <c r="C18" i="13"/>
  <c r="D18" i="13" s="1"/>
  <c r="C19" i="13"/>
  <c r="D19" i="13" s="1"/>
  <c r="C21" i="13"/>
  <c r="D21" i="13" s="1"/>
  <c r="C22" i="13"/>
  <c r="D22" i="13" s="1"/>
  <c r="C23" i="13"/>
  <c r="D23" i="13" s="1"/>
  <c r="C24" i="13"/>
  <c r="D24" i="13" s="1"/>
  <c r="C25" i="13"/>
  <c r="D25" i="13" s="1"/>
  <c r="D41" i="13"/>
  <c r="C28" i="13"/>
  <c r="D28" i="13" s="1"/>
  <c r="C29" i="13"/>
  <c r="D29" i="13" s="1"/>
  <c r="C30" i="13"/>
  <c r="D30" i="13" s="1"/>
  <c r="C31" i="13"/>
  <c r="D31" i="13" s="1"/>
  <c r="C33" i="13"/>
  <c r="D33" i="13" s="1"/>
  <c r="C34" i="13"/>
  <c r="D34" i="13" s="1"/>
  <c r="C35" i="13"/>
  <c r="D35" i="13" s="1"/>
  <c r="C36" i="13"/>
  <c r="D36" i="13" s="1"/>
  <c r="C37" i="13"/>
  <c r="D37" i="13" s="1"/>
  <c r="C13" i="13"/>
  <c r="D13" i="13" s="1"/>
  <c r="C14" i="13"/>
  <c r="D14" i="13" s="1"/>
  <c r="C26" i="13"/>
  <c r="D26" i="13" s="1"/>
  <c r="C7" i="13"/>
  <c r="C10" i="13"/>
  <c r="D10" i="13" s="1"/>
  <c r="C12" i="13"/>
  <c r="D12" i="13" s="1"/>
  <c r="C20" i="13"/>
  <c r="D20" i="13" s="1"/>
  <c r="C32" i="13"/>
  <c r="D32" i="13" s="1"/>
  <c r="C38" i="13"/>
  <c r="D38" i="13" s="1"/>
  <c r="C15" i="13"/>
  <c r="D15" i="13" s="1"/>
  <c r="C27" i="13"/>
  <c r="D27" i="13" s="1"/>
  <c r="J7" i="13" l="1"/>
  <c r="J39" i="13" s="1"/>
  <c r="J40" i="13" s="1"/>
  <c r="I39" i="13"/>
  <c r="C39" i="13"/>
  <c r="D7" i="13"/>
  <c r="D39" i="13" s="1"/>
  <c r="D40" i="13" s="1"/>
</calcChain>
</file>

<file path=xl/sharedStrings.xml><?xml version="1.0" encoding="utf-8"?>
<sst xmlns="http://schemas.openxmlformats.org/spreadsheetml/2006/main" count="82" uniqueCount="45">
  <si>
    <t>Analysis of I/C Billings</t>
  </si>
  <si>
    <t>2001 Forecast</t>
  </si>
  <si>
    <t>2002 Plan</t>
  </si>
  <si>
    <t>$</t>
  </si>
  <si>
    <t>%</t>
  </si>
  <si>
    <t>HC</t>
  </si>
  <si>
    <t xml:space="preserve">  CORP</t>
  </si>
  <si>
    <t xml:space="preserve">  EBS</t>
  </si>
  <si>
    <t xml:space="preserve">  ECB</t>
  </si>
  <si>
    <t xml:space="preserve">  EEOS</t>
  </si>
  <si>
    <t xml:space="preserve">  EES Wholesale</t>
  </si>
  <si>
    <t xml:space="preserve">  EES Retail</t>
  </si>
  <si>
    <t xml:space="preserve">  EFS</t>
  </si>
  <si>
    <t xml:space="preserve">  EGAS</t>
  </si>
  <si>
    <t xml:space="preserve">  EGF</t>
  </si>
  <si>
    <t xml:space="preserve">  EGM</t>
  </si>
  <si>
    <t xml:space="preserve">  EIM</t>
  </si>
  <si>
    <t xml:space="preserve">  EEDC</t>
  </si>
  <si>
    <t xml:space="preserve">  ENW</t>
  </si>
  <si>
    <t xml:space="preserve">  EPI</t>
  </si>
  <si>
    <t xml:space="preserve">  ETS</t>
  </si>
  <si>
    <t xml:space="preserve">  NEPCO</t>
  </si>
  <si>
    <t>Total 2001 Forecast Allocations</t>
  </si>
  <si>
    <t>Total 2002 Plan Allocations</t>
  </si>
  <si>
    <t>Other Business Units</t>
  </si>
  <si>
    <t>Net ENA</t>
  </si>
  <si>
    <t>Note</t>
  </si>
  <si>
    <t>Human Resources Consolidated</t>
  </si>
  <si>
    <t xml:space="preserve">  APACHI</t>
  </si>
  <si>
    <t xml:space="preserve">  CALME</t>
  </si>
  <si>
    <t xml:space="preserve">  CF-MTBE</t>
  </si>
  <si>
    <t xml:space="preserve">  Citrus</t>
  </si>
  <si>
    <t xml:space="preserve">  EEL</t>
  </si>
  <si>
    <t xml:space="preserve">  EGEP</t>
  </si>
  <si>
    <t xml:space="preserve">  EIP</t>
  </si>
  <si>
    <t xml:space="preserve">  EREC</t>
  </si>
  <si>
    <t xml:space="preserve">  FGT</t>
  </si>
  <si>
    <t xml:space="preserve">  HPLP</t>
  </si>
  <si>
    <t xml:space="preserve">  India</t>
  </si>
  <si>
    <t xml:space="preserve">  NNG</t>
  </si>
  <si>
    <t xml:space="preserve">  Northern Plains</t>
  </si>
  <si>
    <t xml:space="preserve">  South America</t>
  </si>
  <si>
    <t xml:space="preserve">  TW</t>
  </si>
  <si>
    <t xml:space="preserve">  Xcelerator</t>
  </si>
  <si>
    <t xml:space="preserve">      2002 Plan Direct Expense and allocations to business units include Bonus Accrual.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</si>
</sst>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9" fontId="1" fillId="0" borderId="0" xfId="2"/>
    <xf numFmtId="1" fontId="0" fillId="0" borderId="0" xfId="0" applyNumberFormat="1"/>
    <xf numFmtId="164" fontId="0" fillId="0" borderId="0" xfId="1" applyNumberFormat="1" applyFont="1"/>
    <xf numFmtId="164" fontId="1" fillId="0" borderId="0" xfId="1" applyNumberFormat="1"/>
    <xf numFmtId="164" fontId="1" fillId="0" borderId="1" xfId="1" applyNumberFormat="1" applyBorder="1"/>
    <xf numFmtId="9" fontId="1" fillId="0" borderId="1" xfId="2" applyBorder="1"/>
    <xf numFmtId="1" fontId="0" fillId="0" borderId="1" xfId="0" applyNumberFormat="1" applyBorder="1"/>
    <xf numFmtId="164" fontId="1" fillId="0" borderId="0" xfId="1" applyNumberFormat="1" applyBorder="1"/>
    <xf numFmtId="0" fontId="0" fillId="0" borderId="0" xfId="0" applyAlignment="1">
      <alignment horizontal="right"/>
    </xf>
    <xf numFmtId="43" fontId="1" fillId="0" borderId="0" xfId="1"/>
    <xf numFmtId="164" fontId="1" fillId="0" borderId="0" xfId="1" applyNumberFormat="1" applyFont="1"/>
    <xf numFmtId="164" fontId="1" fillId="0" borderId="0" xfId="1" applyNumberFormat="1" applyFont="1" applyBorder="1"/>
    <xf numFmtId="1" fontId="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tabSelected="1" workbookViewId="0">
      <selection activeCell="M30" sqref="M30"/>
    </sheetView>
  </sheetViews>
  <sheetFormatPr defaultRowHeight="12.75" x14ac:dyDescent="0.2"/>
  <cols>
    <col min="1" max="1" width="27.7109375" bestFit="1" customWidth="1"/>
    <col min="2" max="2" width="12.85546875" bestFit="1" customWidth="1"/>
    <col min="3" max="3" width="7.42578125" customWidth="1"/>
    <col min="4" max="4" width="6.85546875" customWidth="1"/>
    <col min="5" max="5" width="6.140625" customWidth="1"/>
    <col min="6" max="6" width="2.5703125" customWidth="1"/>
    <col min="7" max="7" width="27.28515625" bestFit="1" customWidth="1"/>
    <col min="8" max="8" width="11.28515625" customWidth="1"/>
    <col min="9" max="9" width="7.42578125" customWidth="1"/>
    <col min="10" max="10" width="5.7109375" customWidth="1"/>
    <col min="11" max="11" width="3.7109375" bestFit="1" customWidth="1"/>
    <col min="13" max="13" width="12.85546875" bestFit="1" customWidth="1"/>
    <col min="14" max="14" width="10.28515625" bestFit="1" customWidth="1"/>
    <col min="15" max="15" width="11.28515625" bestFit="1" customWidth="1"/>
  </cols>
  <sheetData>
    <row r="1" spans="1:15" ht="15.75" x14ac:dyDescent="0.25">
      <c r="A1" s="17" t="s">
        <v>27</v>
      </c>
      <c r="B1" s="17"/>
      <c r="C1" s="17"/>
      <c r="D1" s="17"/>
      <c r="E1" s="17"/>
      <c r="F1" s="17"/>
      <c r="G1" s="17"/>
      <c r="H1" s="18"/>
      <c r="I1" s="18"/>
      <c r="J1" s="18"/>
    </row>
    <row r="2" spans="1:15" ht="15" x14ac:dyDescent="0.2">
      <c r="A2" s="21" t="s">
        <v>0</v>
      </c>
      <c r="B2" s="21"/>
      <c r="C2" s="21"/>
      <c r="D2" s="21"/>
      <c r="E2" s="21"/>
      <c r="F2" s="21"/>
      <c r="G2" s="21"/>
      <c r="H2" s="18"/>
      <c r="I2" s="18"/>
      <c r="J2" s="18"/>
    </row>
    <row r="4" spans="1:15" x14ac:dyDescent="0.2">
      <c r="A4" s="19" t="s">
        <v>1</v>
      </c>
      <c r="B4" s="19"/>
      <c r="C4" s="20"/>
      <c r="D4" s="20"/>
      <c r="G4" s="19" t="s">
        <v>2</v>
      </c>
      <c r="H4" s="19"/>
      <c r="I4" s="20"/>
      <c r="J4" s="20"/>
    </row>
    <row r="5" spans="1:15" x14ac:dyDescent="0.2">
      <c r="B5" s="2" t="s">
        <v>3</v>
      </c>
      <c r="C5" s="2" t="s">
        <v>4</v>
      </c>
      <c r="D5" s="2" t="s">
        <v>5</v>
      </c>
      <c r="E5" s="1"/>
      <c r="F5" s="1"/>
      <c r="H5" s="2" t="s">
        <v>3</v>
      </c>
      <c r="I5" s="2" t="s">
        <v>4</v>
      </c>
      <c r="J5" s="2" t="s">
        <v>5</v>
      </c>
    </row>
    <row r="6" spans="1:15" ht="20.25" customHeight="1" x14ac:dyDescent="0.2">
      <c r="B6" s="1"/>
      <c r="C6" s="1"/>
      <c r="D6">
        <v>138</v>
      </c>
      <c r="E6" s="1"/>
      <c r="F6" s="1"/>
      <c r="J6">
        <v>164</v>
      </c>
    </row>
    <row r="7" spans="1:15" ht="18.75" customHeight="1" x14ac:dyDescent="0.2">
      <c r="A7" t="s">
        <v>28</v>
      </c>
      <c r="B7" s="7">
        <f>3000</f>
        <v>3000</v>
      </c>
      <c r="C7" s="4">
        <f>+B7/B$39</f>
        <v>2.3107181041759529E-4</v>
      </c>
      <c r="D7" s="5">
        <f t="shared" ref="D7:D37" si="0">+C7*D$6</f>
        <v>3.1887909837628153E-2</v>
      </c>
      <c r="E7" s="7"/>
      <c r="F7" s="7"/>
      <c r="G7" t="s">
        <v>28</v>
      </c>
      <c r="H7" s="7">
        <v>0</v>
      </c>
      <c r="I7" s="4">
        <f>+H7/H$39</f>
        <v>0</v>
      </c>
      <c r="J7" s="5">
        <f t="shared" ref="J7:J37" si="1">+I7*J$6</f>
        <v>0</v>
      </c>
      <c r="M7" s="6"/>
      <c r="N7" s="6"/>
      <c r="O7" s="6"/>
    </row>
    <row r="8" spans="1:15" x14ac:dyDescent="0.2">
      <c r="A8" t="s">
        <v>29</v>
      </c>
      <c r="B8" s="7">
        <f>996</f>
        <v>996</v>
      </c>
      <c r="C8" s="4">
        <f>+B8/B$39</f>
        <v>7.6715841058641636E-5</v>
      </c>
      <c r="D8" s="5">
        <f t="shared" si="0"/>
        <v>1.0586786066092545E-2</v>
      </c>
      <c r="E8" s="7"/>
      <c r="F8" s="7"/>
      <c r="G8" t="s">
        <v>29</v>
      </c>
      <c r="H8" s="7">
        <v>0</v>
      </c>
      <c r="I8" s="4">
        <f>+H8/H$39</f>
        <v>0</v>
      </c>
      <c r="J8" s="5">
        <f t="shared" si="1"/>
        <v>0</v>
      </c>
      <c r="M8" s="6"/>
      <c r="N8" s="6"/>
      <c r="O8" s="6"/>
    </row>
    <row r="9" spans="1:15" x14ac:dyDescent="0.2">
      <c r="A9" t="s">
        <v>30</v>
      </c>
      <c r="B9" s="7">
        <f>3498</f>
        <v>3498</v>
      </c>
      <c r="C9" s="4">
        <f>+B9/B$39</f>
        <v>2.6942973094691612E-4</v>
      </c>
      <c r="D9" s="5">
        <f>+C9*D$6</f>
        <v>3.7181302870674428E-2</v>
      </c>
      <c r="E9" s="7"/>
      <c r="F9" s="7"/>
      <c r="G9" t="s">
        <v>30</v>
      </c>
      <c r="H9" s="7">
        <v>0</v>
      </c>
      <c r="I9" s="4">
        <f>+H9/H$39</f>
        <v>0</v>
      </c>
      <c r="J9" s="5">
        <f t="shared" si="1"/>
        <v>0</v>
      </c>
      <c r="M9" s="6"/>
      <c r="N9" s="6"/>
      <c r="O9" s="6"/>
    </row>
    <row r="10" spans="1:15" x14ac:dyDescent="0.2">
      <c r="A10" t="s">
        <v>31</v>
      </c>
      <c r="B10" s="7">
        <f>996</f>
        <v>996</v>
      </c>
      <c r="C10" s="4">
        <f>+B10/B$39</f>
        <v>7.6715841058641636E-5</v>
      </c>
      <c r="D10" s="5">
        <f>+C10*D$6</f>
        <v>1.0586786066092545E-2</v>
      </c>
      <c r="E10" s="7"/>
      <c r="F10" s="7"/>
      <c r="G10" t="s">
        <v>31</v>
      </c>
      <c r="H10" s="7">
        <v>0</v>
      </c>
      <c r="I10" s="4">
        <f>+H10/H$39</f>
        <v>0</v>
      </c>
      <c r="J10" s="5">
        <f t="shared" si="1"/>
        <v>0</v>
      </c>
      <c r="M10" s="6"/>
      <c r="N10" s="6"/>
      <c r="O10" s="6"/>
    </row>
    <row r="11" spans="1:15" x14ac:dyDescent="0.2">
      <c r="A11" t="s">
        <v>6</v>
      </c>
      <c r="B11" s="7">
        <f>991613+401861+66243</f>
        <v>1459717</v>
      </c>
      <c r="C11" s="4">
        <f>+B11/B$39</f>
        <v>0.11243314996244698</v>
      </c>
      <c r="D11" s="5">
        <f>+C11*D$6</f>
        <v>15.515774694817683</v>
      </c>
      <c r="E11" s="13"/>
      <c r="F11" s="13"/>
      <c r="G11" t="s">
        <v>6</v>
      </c>
      <c r="H11" s="7">
        <f>125777+1383997+308433</f>
        <v>1818207</v>
      </c>
      <c r="I11" s="4">
        <f>+H11/H$39</f>
        <v>0.10307873837144271</v>
      </c>
      <c r="J11" s="5">
        <f>+I11*J$6</f>
        <v>16.904913092916605</v>
      </c>
      <c r="M11" s="6"/>
      <c r="N11" s="6"/>
      <c r="O11" s="6"/>
    </row>
    <row r="12" spans="1:15" x14ac:dyDescent="0.2">
      <c r="A12" t="s">
        <v>7</v>
      </c>
      <c r="B12" s="7">
        <f>47004+109571</f>
        <v>156575</v>
      </c>
      <c r="C12" s="4">
        <f>+B12/B$39</f>
        <v>1.2060022905378328E-2</v>
      </c>
      <c r="D12" s="5">
        <f>+C12*D$6</f>
        <v>1.6642831609422093</v>
      </c>
      <c r="E12" s="7"/>
      <c r="F12" s="7"/>
      <c r="G12" t="s">
        <v>7</v>
      </c>
      <c r="H12" s="7">
        <f>34738+305826+859436</f>
        <v>1200000</v>
      </c>
      <c r="I12" s="4">
        <f>+H12/H$39</f>
        <v>6.8031025095454611E-2</v>
      </c>
      <c r="J12" s="5">
        <f t="shared" si="1"/>
        <v>11.157088115654556</v>
      </c>
      <c r="M12" s="6"/>
      <c r="N12" s="6"/>
      <c r="O12" s="6"/>
    </row>
    <row r="13" spans="1:15" x14ac:dyDescent="0.2">
      <c r="A13" t="s">
        <v>8</v>
      </c>
      <c r="B13" s="14">
        <f>99996</f>
        <v>99996</v>
      </c>
      <c r="C13" s="4">
        <f>+B13/B$39</f>
        <v>7.7020855848392864E-3</v>
      </c>
      <c r="D13" s="5">
        <f>+C13*D$6</f>
        <v>1.0628878107078215</v>
      </c>
      <c r="E13" s="7"/>
      <c r="F13" s="7"/>
      <c r="G13" t="s">
        <v>8</v>
      </c>
      <c r="H13" s="7">
        <v>0</v>
      </c>
      <c r="I13" s="4">
        <f>+H13/H$39</f>
        <v>0</v>
      </c>
      <c r="J13" s="5">
        <f t="shared" si="1"/>
        <v>0</v>
      </c>
      <c r="K13" s="14"/>
      <c r="M13" s="6"/>
      <c r="N13" s="6"/>
      <c r="O13" s="6"/>
    </row>
    <row r="14" spans="1:15" x14ac:dyDescent="0.2">
      <c r="A14" t="s">
        <v>17</v>
      </c>
      <c r="B14" s="7">
        <f>11988</f>
        <v>11988</v>
      </c>
      <c r="C14" s="4">
        <f>+B14/B$39</f>
        <v>9.2336295442871081E-4</v>
      </c>
      <c r="D14" s="5">
        <f t="shared" si="0"/>
        <v>0.12742408771116209</v>
      </c>
      <c r="E14" s="7"/>
      <c r="F14" s="7"/>
      <c r="G14" t="s">
        <v>17</v>
      </c>
      <c r="H14" s="7">
        <v>0</v>
      </c>
      <c r="I14" s="4">
        <f>+H14/H$39</f>
        <v>0</v>
      </c>
      <c r="J14" s="5">
        <f t="shared" si="1"/>
        <v>0</v>
      </c>
      <c r="K14" s="14"/>
      <c r="M14" s="6"/>
      <c r="N14" s="6"/>
      <c r="O14" s="6"/>
    </row>
    <row r="15" spans="1:15" x14ac:dyDescent="0.2">
      <c r="A15" t="s">
        <v>32</v>
      </c>
      <c r="B15" s="7">
        <v>68004</v>
      </c>
      <c r="C15" s="4">
        <f>+B15/B$39</f>
        <v>5.2379357985460496E-3</v>
      </c>
      <c r="D15" s="5">
        <f>+C15*D$6</f>
        <v>0.7228351401993548</v>
      </c>
      <c r="E15" s="7"/>
      <c r="F15" s="7"/>
      <c r="G15" t="s">
        <v>32</v>
      </c>
      <c r="H15" s="7">
        <f>93103+11790</f>
        <v>104893</v>
      </c>
      <c r="I15" s="4">
        <f>+H15/H$39</f>
        <v>5.9466485961146009E-3</v>
      </c>
      <c r="J15" s="5">
        <f t="shared" si="1"/>
        <v>0.97525036976279456</v>
      </c>
      <c r="K15" s="14"/>
      <c r="M15" s="6"/>
      <c r="N15" s="6"/>
      <c r="O15" s="6"/>
    </row>
    <row r="16" spans="1:15" x14ac:dyDescent="0.2">
      <c r="A16" t="s">
        <v>9</v>
      </c>
      <c r="B16" s="14">
        <f>18000+44394</f>
        <v>62394</v>
      </c>
      <c r="C16" s="4">
        <f>+B16/B$39</f>
        <v>4.8058315130651468E-3</v>
      </c>
      <c r="D16" s="5">
        <f>+C16*D$6+0.03</f>
        <v>0.69320474880299032</v>
      </c>
      <c r="E16" s="7"/>
      <c r="F16" s="7"/>
      <c r="G16" t="s">
        <v>9</v>
      </c>
      <c r="H16" s="7">
        <f>24256+521143+246877</f>
        <v>792276</v>
      </c>
      <c r="I16" s="4">
        <f>+H16/H$39</f>
        <v>4.4916123698772001E-2</v>
      </c>
      <c r="J16" s="5">
        <f t="shared" si="1"/>
        <v>7.366244286598608</v>
      </c>
      <c r="K16" s="14"/>
      <c r="M16" s="6"/>
      <c r="N16" s="6"/>
      <c r="O16" s="6"/>
    </row>
    <row r="17" spans="1:15" x14ac:dyDescent="0.2">
      <c r="A17" t="s">
        <v>11</v>
      </c>
      <c r="B17" s="7">
        <f>60996+3953519</f>
        <v>4014515</v>
      </c>
      <c r="C17" s="4">
        <f>+B17/B$39</f>
        <v>0.30921374966619752</v>
      </c>
      <c r="D17" s="16">
        <f>+C17*D$6</f>
        <v>42.67149745393526</v>
      </c>
      <c r="E17" s="7"/>
      <c r="F17" s="7"/>
      <c r="G17" t="s">
        <v>11</v>
      </c>
      <c r="H17" s="7">
        <f>123530+2342961+2006678+646626</f>
        <v>5119795</v>
      </c>
      <c r="I17" s="4">
        <f>+H17/H$39</f>
        <v>0.29025408510715256</v>
      </c>
      <c r="J17" s="5">
        <f t="shared" si="1"/>
        <v>47.601669957573023</v>
      </c>
      <c r="K17" s="14"/>
      <c r="M17" s="6"/>
      <c r="N17" s="6"/>
      <c r="O17" s="6"/>
    </row>
    <row r="18" spans="1:15" x14ac:dyDescent="0.2">
      <c r="A18" t="s">
        <v>10</v>
      </c>
      <c r="B18" s="7">
        <f>293501+58140</f>
        <v>351641</v>
      </c>
      <c r="C18" s="4">
        <f>+B18/B$39</f>
        <v>2.7084774162351208E-2</v>
      </c>
      <c r="D18" s="16">
        <f>+C18*D$6</f>
        <v>3.7376988344044668</v>
      </c>
      <c r="E18" s="7"/>
      <c r="F18" s="7"/>
      <c r="G18" t="s">
        <v>10</v>
      </c>
      <c r="H18" s="7">
        <f>108575</f>
        <v>108575</v>
      </c>
      <c r="I18" s="4">
        <f>+H18/H$39</f>
        <v>6.1553904581158206E-3</v>
      </c>
      <c r="J18" s="5">
        <f t="shared" si="1"/>
        <v>1.0094840351309946</v>
      </c>
      <c r="K18" s="14"/>
      <c r="M18" s="6"/>
      <c r="N18" s="6"/>
      <c r="O18" s="6"/>
    </row>
    <row r="19" spans="1:15" x14ac:dyDescent="0.2">
      <c r="A19" t="s">
        <v>12</v>
      </c>
      <c r="B19" s="7">
        <f>25982</f>
        <v>25982</v>
      </c>
      <c r="C19" s="4">
        <f>+B19/B$39</f>
        <v>2.0012359260899869E-3</v>
      </c>
      <c r="D19" s="5">
        <f t="shared" si="0"/>
        <v>0.27617055780041821</v>
      </c>
      <c r="E19" s="7"/>
      <c r="F19" s="7"/>
      <c r="G19" t="s">
        <v>12</v>
      </c>
      <c r="H19" s="7">
        <v>0</v>
      </c>
      <c r="I19" s="4">
        <f>+H19/H$39</f>
        <v>0</v>
      </c>
      <c r="J19" s="5">
        <f t="shared" si="1"/>
        <v>0</v>
      </c>
      <c r="K19" s="14"/>
      <c r="M19" s="6"/>
      <c r="N19" s="6"/>
      <c r="O19" s="6"/>
    </row>
    <row r="20" spans="1:15" x14ac:dyDescent="0.2">
      <c r="A20" t="s">
        <v>13</v>
      </c>
      <c r="B20" s="7">
        <f>10370</f>
        <v>10370</v>
      </c>
      <c r="C20" s="4">
        <f>+B20/B$39</f>
        <v>7.9873822467682099E-4</v>
      </c>
      <c r="D20" s="5">
        <f t="shared" si="0"/>
        <v>0.11022587500540129</v>
      </c>
      <c r="E20" s="7"/>
      <c r="F20" s="7"/>
      <c r="G20" t="s">
        <v>13</v>
      </c>
      <c r="H20" s="7">
        <f>15273+1934</f>
        <v>17207</v>
      </c>
      <c r="I20" s="4">
        <f>+H20/H$39</f>
        <v>9.7550820734790625E-4</v>
      </c>
      <c r="J20" s="5">
        <f t="shared" si="1"/>
        <v>0.15998334600505662</v>
      </c>
      <c r="K20" s="14"/>
      <c r="M20" s="6"/>
      <c r="N20" s="6"/>
      <c r="O20" s="6"/>
    </row>
    <row r="21" spans="1:15" x14ac:dyDescent="0.2">
      <c r="A21" t="s">
        <v>33</v>
      </c>
      <c r="B21" s="7">
        <f>5004</f>
        <v>5004</v>
      </c>
      <c r="C21" s="4">
        <f>+B21/B$39</f>
        <v>3.8542777977654892E-4</v>
      </c>
      <c r="D21" s="5">
        <f t="shared" si="0"/>
        <v>5.3189033609163751E-2</v>
      </c>
      <c r="E21" s="7"/>
      <c r="F21" s="7"/>
      <c r="G21" t="s">
        <v>33</v>
      </c>
      <c r="H21" s="7">
        <v>0</v>
      </c>
      <c r="I21" s="4">
        <f>+H21/H$39</f>
        <v>0</v>
      </c>
      <c r="J21" s="5">
        <f t="shared" si="1"/>
        <v>0</v>
      </c>
      <c r="K21" s="14"/>
      <c r="M21" s="6"/>
      <c r="N21" s="6"/>
      <c r="O21" s="6"/>
    </row>
    <row r="22" spans="1:15" x14ac:dyDescent="0.2">
      <c r="A22" t="s">
        <v>14</v>
      </c>
      <c r="B22" s="7">
        <f>3000+129816</f>
        <v>132816</v>
      </c>
      <c r="C22" s="4">
        <f>+B22/B$39</f>
        <v>1.0230011190807778E-2</v>
      </c>
      <c r="D22" s="5">
        <f>+C22*D$6</f>
        <v>1.4117415443314734</v>
      </c>
      <c r="E22" s="7"/>
      <c r="F22" s="7"/>
      <c r="G22" t="s">
        <v>14</v>
      </c>
      <c r="H22" s="7">
        <v>0</v>
      </c>
      <c r="I22" s="4">
        <f>+H22/H$39</f>
        <v>0</v>
      </c>
      <c r="J22" s="5">
        <f t="shared" si="1"/>
        <v>0</v>
      </c>
      <c r="K22" s="14"/>
      <c r="M22" s="6"/>
      <c r="N22" s="6"/>
      <c r="O22" s="6"/>
    </row>
    <row r="23" spans="1:15" x14ac:dyDescent="0.2">
      <c r="A23" t="s">
        <v>15</v>
      </c>
      <c r="B23" s="7">
        <f>18996+891107+112635</f>
        <v>1022738</v>
      </c>
      <c r="C23" s="4">
        <f>+B23/B$39</f>
        <v>7.8775307080956855E-2</v>
      </c>
      <c r="D23" s="5">
        <f t="shared" si="0"/>
        <v>10.870992377172046</v>
      </c>
      <c r="E23" s="7"/>
      <c r="F23" s="7"/>
      <c r="G23" t="s">
        <v>15</v>
      </c>
      <c r="H23" s="7">
        <f>37464+1069899+379224</f>
        <v>1486587</v>
      </c>
      <c r="I23" s="4">
        <f>+H23/H$39</f>
        <v>8.4278364586313825E-2</v>
      </c>
      <c r="J23" s="5">
        <f t="shared" si="1"/>
        <v>13.821651792155468</v>
      </c>
      <c r="K23" s="14"/>
      <c r="M23" s="6"/>
      <c r="N23" s="6"/>
      <c r="O23" s="6"/>
    </row>
    <row r="24" spans="1:15" x14ac:dyDescent="0.2">
      <c r="A24" t="s">
        <v>16</v>
      </c>
      <c r="B24" s="7">
        <f>5004+810548+70578</f>
        <v>886130</v>
      </c>
      <c r="C24" s="4">
        <f>+B24/B$39</f>
        <v>6.8253221121781241E-2</v>
      </c>
      <c r="D24" s="5">
        <f t="shared" si="0"/>
        <v>9.418944514805812</v>
      </c>
      <c r="E24" s="7"/>
      <c r="F24" s="7"/>
      <c r="G24" t="s">
        <v>16</v>
      </c>
      <c r="H24" s="7">
        <f>24616+669968+227119</f>
        <v>921703</v>
      </c>
      <c r="I24" s="4">
        <f>+H24/H$39-0.001</f>
        <v>5.1253666602963169E-2</v>
      </c>
      <c r="J24" s="5">
        <f t="shared" si="1"/>
        <v>8.4056013228859605</v>
      </c>
      <c r="K24" s="14"/>
      <c r="M24" s="6"/>
      <c r="N24" s="6"/>
      <c r="O24" s="6"/>
    </row>
    <row r="25" spans="1:15" x14ac:dyDescent="0.2">
      <c r="A25" t="s">
        <v>34</v>
      </c>
      <c r="B25" s="7">
        <f>498</f>
        <v>498</v>
      </c>
      <c r="C25" s="4">
        <f>+B25/B$39</f>
        <v>3.8357920529320818E-5</v>
      </c>
      <c r="D25" s="5">
        <f t="shared" si="0"/>
        <v>5.2933930330462727E-3</v>
      </c>
      <c r="E25" s="7"/>
      <c r="F25" s="7"/>
      <c r="G25" t="s">
        <v>34</v>
      </c>
      <c r="H25" s="7">
        <v>0</v>
      </c>
      <c r="I25" s="4">
        <f>+H25/H$39</f>
        <v>0</v>
      </c>
      <c r="J25" s="5">
        <f t="shared" si="1"/>
        <v>0</v>
      </c>
      <c r="K25" s="7"/>
      <c r="M25" s="6"/>
      <c r="N25" s="6"/>
      <c r="O25" s="6"/>
    </row>
    <row r="26" spans="1:15" x14ac:dyDescent="0.2">
      <c r="A26" t="s">
        <v>18</v>
      </c>
      <c r="B26" s="14">
        <f>30000+457717+3779417</f>
        <v>4267134</v>
      </c>
      <c r="C26" s="4">
        <f>+B26/B$39</f>
        <v>0.32867145955815835</v>
      </c>
      <c r="D26" s="5">
        <f t="shared" si="0"/>
        <v>45.356661419025855</v>
      </c>
      <c r="E26" s="14"/>
      <c r="F26" s="14"/>
      <c r="G26" t="s">
        <v>18</v>
      </c>
      <c r="H26" s="7">
        <f>234483+2434299+2973047-1</f>
        <v>5641828</v>
      </c>
      <c r="I26" s="4">
        <f t="shared" ref="I26:I38" si="2">+H26/H$39</f>
        <v>0.31984945187686542</v>
      </c>
      <c r="J26" s="5">
        <f t="shared" si="1"/>
        <v>52.455310107805929</v>
      </c>
      <c r="K26" s="7"/>
      <c r="M26" s="6"/>
      <c r="N26" s="6"/>
      <c r="O26" s="6"/>
    </row>
    <row r="27" spans="1:15" x14ac:dyDescent="0.2">
      <c r="A27" t="s">
        <v>19</v>
      </c>
      <c r="B27" s="7">
        <f>34286</f>
        <v>34286</v>
      </c>
      <c r="C27" s="4">
        <f>+B27/B$39</f>
        <v>2.6408426973258906E-3</v>
      </c>
      <c r="D27" s="5">
        <f t="shared" si="0"/>
        <v>0.3644362922309729</v>
      </c>
      <c r="E27" s="7"/>
      <c r="F27" s="7"/>
      <c r="G27" t="s">
        <v>19</v>
      </c>
      <c r="H27" s="7">
        <f>164757</f>
        <v>164757</v>
      </c>
      <c r="I27" s="4">
        <f t="shared" si="2"/>
        <v>9.3404896680431802E-3</v>
      </c>
      <c r="J27" s="5">
        <f t="shared" si="1"/>
        <v>1.5318403055590815</v>
      </c>
      <c r="K27" s="14"/>
      <c r="M27" s="6"/>
      <c r="N27" s="6"/>
      <c r="O27" s="6"/>
    </row>
    <row r="28" spans="1:15" x14ac:dyDescent="0.2">
      <c r="A28" t="s">
        <v>35</v>
      </c>
      <c r="B28" s="7">
        <f>32004</f>
        <v>32004</v>
      </c>
      <c r="C28" s="4">
        <f>+B28/B$39</f>
        <v>2.4650740735349067E-3</v>
      </c>
      <c r="D28" s="5">
        <f t="shared" si="0"/>
        <v>0.34018022214781712</v>
      </c>
      <c r="E28" s="7"/>
      <c r="F28" s="7"/>
      <c r="G28" t="s">
        <v>35</v>
      </c>
      <c r="H28" s="7">
        <v>0</v>
      </c>
      <c r="I28" s="4">
        <f t="shared" si="2"/>
        <v>0</v>
      </c>
      <c r="J28" s="5">
        <f t="shared" si="1"/>
        <v>0</v>
      </c>
      <c r="K28" s="14"/>
    </row>
    <row r="29" spans="1:15" x14ac:dyDescent="0.2">
      <c r="A29" t="s">
        <v>20</v>
      </c>
      <c r="B29" s="7">
        <f>9000+134730+16825</f>
        <v>160555</v>
      </c>
      <c r="C29" s="4">
        <f>+B29/B$39</f>
        <v>1.236657817386567E-2</v>
      </c>
      <c r="D29" s="5">
        <f t="shared" si="0"/>
        <v>1.7065877879934623</v>
      </c>
      <c r="E29" s="7"/>
      <c r="F29" s="7"/>
      <c r="G29" t="s">
        <v>20</v>
      </c>
      <c r="H29" s="14">
        <v>195323</v>
      </c>
      <c r="I29" s="4">
        <f t="shared" si="2"/>
        <v>1.1073353262266234E-2</v>
      </c>
      <c r="J29" s="5">
        <f t="shared" si="1"/>
        <v>1.8160299350116624</v>
      </c>
      <c r="K29" s="7"/>
    </row>
    <row r="30" spans="1:15" x14ac:dyDescent="0.2">
      <c r="A30" t="s">
        <v>36</v>
      </c>
      <c r="B30" s="7">
        <f>12000</f>
        <v>12000</v>
      </c>
      <c r="C30" s="4">
        <f>+B30/B$39</f>
        <v>9.2428724167038117E-4</v>
      </c>
      <c r="D30" s="5">
        <f t="shared" si="0"/>
        <v>0.12755163935051261</v>
      </c>
      <c r="E30" s="13"/>
      <c r="F30" s="13"/>
      <c r="G30" t="s">
        <v>36</v>
      </c>
      <c r="H30" s="7">
        <v>0</v>
      </c>
      <c r="I30" s="4">
        <f t="shared" si="2"/>
        <v>0</v>
      </c>
      <c r="J30" s="5">
        <f t="shared" si="1"/>
        <v>0</v>
      </c>
      <c r="K30" s="7"/>
    </row>
    <row r="31" spans="1:15" x14ac:dyDescent="0.2">
      <c r="A31" t="s">
        <v>37</v>
      </c>
      <c r="B31" s="7">
        <f>3996</f>
        <v>3996</v>
      </c>
      <c r="C31" s="4">
        <f>+B31/B$39</f>
        <v>3.077876514762369E-4</v>
      </c>
      <c r="D31" s="5">
        <f>+C31*D$6</f>
        <v>4.2474695903720695E-2</v>
      </c>
      <c r="E31" s="7"/>
      <c r="F31" s="7"/>
      <c r="G31" t="s">
        <v>37</v>
      </c>
      <c r="H31" s="7">
        <v>0</v>
      </c>
      <c r="I31" s="4">
        <f t="shared" si="2"/>
        <v>0</v>
      </c>
      <c r="J31" s="5">
        <f t="shared" si="1"/>
        <v>0</v>
      </c>
      <c r="K31" s="14"/>
    </row>
    <row r="32" spans="1:15" x14ac:dyDescent="0.2">
      <c r="A32" t="s">
        <v>38</v>
      </c>
      <c r="B32" s="7">
        <f>14004</f>
        <v>14004</v>
      </c>
      <c r="C32" s="4">
        <f>+B32/B$39</f>
        <v>1.0786432110293349E-3</v>
      </c>
      <c r="D32" s="5">
        <f t="shared" si="0"/>
        <v>0.1488527631220482</v>
      </c>
      <c r="E32" s="7"/>
      <c r="F32" s="7"/>
      <c r="G32" t="s">
        <v>38</v>
      </c>
      <c r="H32" s="7">
        <v>0</v>
      </c>
      <c r="I32" s="4">
        <f t="shared" si="2"/>
        <v>0</v>
      </c>
      <c r="J32" s="5">
        <f t="shared" si="1"/>
        <v>0</v>
      </c>
      <c r="K32" s="14"/>
    </row>
    <row r="33" spans="1:11" x14ac:dyDescent="0.2">
      <c r="A33" t="s">
        <v>21</v>
      </c>
      <c r="B33" s="7">
        <f>14004+59136</f>
        <v>73140</v>
      </c>
      <c r="C33" s="4">
        <f>+B33/B$39+0.002</f>
        <v>7.6335307379809736E-3</v>
      </c>
      <c r="D33" s="16">
        <f>+C33*D$6</f>
        <v>1.0534272418413744</v>
      </c>
      <c r="E33" s="11"/>
      <c r="F33" s="11"/>
      <c r="G33" t="s">
        <v>21</v>
      </c>
      <c r="H33" s="7">
        <v>0</v>
      </c>
      <c r="I33" s="4">
        <f t="shared" si="2"/>
        <v>0</v>
      </c>
      <c r="J33" s="5">
        <f>+I33*J$6</f>
        <v>0</v>
      </c>
      <c r="K33" s="14"/>
    </row>
    <row r="34" spans="1:11" x14ac:dyDescent="0.2">
      <c r="A34" t="s">
        <v>39</v>
      </c>
      <c r="B34" s="7">
        <f>47004</f>
        <v>47004</v>
      </c>
      <c r="C34" s="4">
        <f>+B34/B$39</f>
        <v>3.6204331256228829E-3</v>
      </c>
      <c r="D34" s="5">
        <f>+C34*D$6+0.2</f>
        <v>0.69961977133595787</v>
      </c>
      <c r="E34" s="7"/>
      <c r="F34" s="7"/>
      <c r="G34" t="s">
        <v>39</v>
      </c>
      <c r="H34" s="7">
        <v>0</v>
      </c>
      <c r="I34" s="4">
        <f t="shared" si="2"/>
        <v>0</v>
      </c>
      <c r="J34" s="5">
        <f t="shared" si="1"/>
        <v>0</v>
      </c>
    </row>
    <row r="35" spans="1:11" x14ac:dyDescent="0.2">
      <c r="A35" t="s">
        <v>40</v>
      </c>
      <c r="B35" s="7">
        <f>6996</f>
        <v>6996</v>
      </c>
      <c r="C35" s="4">
        <f>+B35/B$39</f>
        <v>5.3885946189383225E-4</v>
      </c>
      <c r="D35" s="5">
        <f t="shared" si="0"/>
        <v>7.4362605741348856E-2</v>
      </c>
      <c r="E35" s="7"/>
      <c r="F35" s="7"/>
      <c r="G35" t="s">
        <v>40</v>
      </c>
      <c r="H35" s="7">
        <v>0</v>
      </c>
      <c r="I35" s="4">
        <f t="shared" si="2"/>
        <v>0</v>
      </c>
      <c r="J35" s="5">
        <f t="shared" si="1"/>
        <v>0</v>
      </c>
    </row>
    <row r="36" spans="1:11" x14ac:dyDescent="0.2">
      <c r="A36" t="s">
        <v>41</v>
      </c>
      <c r="B36" s="7">
        <f>9000</f>
        <v>9000</v>
      </c>
      <c r="C36" s="4">
        <f>+B36/B$39</f>
        <v>6.9321543125278582E-4</v>
      </c>
      <c r="D36" s="5">
        <f t="shared" si="0"/>
        <v>9.5663729512884446E-2</v>
      </c>
      <c r="E36" s="7"/>
      <c r="F36" s="7"/>
      <c r="G36" t="s">
        <v>41</v>
      </c>
      <c r="H36" s="7">
        <v>0</v>
      </c>
      <c r="I36" s="4">
        <f t="shared" si="2"/>
        <v>0</v>
      </c>
      <c r="J36" s="5">
        <f t="shared" si="1"/>
        <v>0</v>
      </c>
    </row>
    <row r="37" spans="1:11" x14ac:dyDescent="0.2">
      <c r="A37" t="s">
        <v>42</v>
      </c>
      <c r="B37" s="7">
        <f>6000</f>
        <v>6000</v>
      </c>
      <c r="C37" s="4">
        <f>+B37/B$39</f>
        <v>4.6214362083519059E-4</v>
      </c>
      <c r="D37" s="5">
        <f t="shared" si="0"/>
        <v>6.3775819675256307E-2</v>
      </c>
      <c r="E37" s="13"/>
      <c r="F37" s="13"/>
      <c r="G37" t="s">
        <v>42</v>
      </c>
      <c r="H37" s="7">
        <v>0</v>
      </c>
      <c r="I37" s="4">
        <f t="shared" si="2"/>
        <v>0</v>
      </c>
      <c r="J37" s="5">
        <f t="shared" si="1"/>
        <v>0</v>
      </c>
    </row>
    <row r="38" spans="1:11" x14ac:dyDescent="0.2">
      <c r="A38" t="s">
        <v>43</v>
      </c>
      <c r="B38" s="8">
        <v>0</v>
      </c>
      <c r="C38" s="9">
        <f>+B38/B$39</f>
        <v>0</v>
      </c>
      <c r="D38" s="10">
        <f>+C38*D$6</f>
        <v>0</v>
      </c>
      <c r="E38" s="7"/>
      <c r="F38" s="7"/>
      <c r="G38" t="s">
        <v>43</v>
      </c>
      <c r="H38" s="8">
        <f>67860</f>
        <v>67860</v>
      </c>
      <c r="I38" s="9">
        <f t="shared" si="2"/>
        <v>3.8471544691479585E-3</v>
      </c>
      <c r="J38" s="10">
        <f>+I38*J$6</f>
        <v>0.63093333294026521</v>
      </c>
    </row>
    <row r="39" spans="1:11" x14ac:dyDescent="0.2">
      <c r="A39" t="s">
        <v>22</v>
      </c>
      <c r="B39" s="7">
        <f>SUM(B7:B38)</f>
        <v>12982977</v>
      </c>
      <c r="C39" s="4">
        <f>SUM(C7:C38)</f>
        <v>1.0020000000000002</v>
      </c>
      <c r="D39" s="5">
        <f>SUM(D7:D38)-0.5</f>
        <v>138.006</v>
      </c>
      <c r="E39" s="7"/>
      <c r="F39" s="7"/>
      <c r="G39" t="s">
        <v>23</v>
      </c>
      <c r="H39" s="7">
        <f>SUM(H7:H38)</f>
        <v>17639011</v>
      </c>
      <c r="I39" s="4">
        <f>SUM(I7:I38)</f>
        <v>0.999</v>
      </c>
      <c r="J39" s="5">
        <f>SUM(J7:J38)</f>
        <v>163.83600000000001</v>
      </c>
    </row>
    <row r="40" spans="1:11" x14ac:dyDescent="0.2">
      <c r="A40" s="12" t="s">
        <v>24</v>
      </c>
      <c r="B40" s="6"/>
      <c r="D40" s="5" t="e">
        <f>+D39-#REF!</f>
        <v>#REF!</v>
      </c>
      <c r="G40" s="12" t="s">
        <v>24</v>
      </c>
      <c r="H40" s="6"/>
      <c r="J40" s="5" t="e">
        <f>J39-#REF!</f>
        <v>#REF!</v>
      </c>
    </row>
    <row r="41" spans="1:11" x14ac:dyDescent="0.2">
      <c r="A41" s="12" t="s">
        <v>25</v>
      </c>
      <c r="D41" s="5" t="e">
        <f>#REF!</f>
        <v>#REF!</v>
      </c>
      <c r="G41" s="12" t="s">
        <v>25</v>
      </c>
      <c r="J41" s="5" t="e">
        <f>#REF!</f>
        <v>#REF!</v>
      </c>
    </row>
    <row r="44" spans="1:11" x14ac:dyDescent="0.2">
      <c r="A44" s="6" t="s">
        <v>26</v>
      </c>
      <c r="B44" s="6"/>
      <c r="H44" s="6"/>
    </row>
    <row r="45" spans="1:11" x14ac:dyDescent="0.2">
      <c r="A45" t="s">
        <v>44</v>
      </c>
      <c r="B45" s="3"/>
      <c r="H45" s="3"/>
    </row>
    <row r="48" spans="1:11" x14ac:dyDescent="0.2">
      <c r="A48" s="15"/>
    </row>
  </sheetData>
  <mergeCells count="4">
    <mergeCell ref="A1:J1"/>
    <mergeCell ref="A2:J2"/>
    <mergeCell ref="A4:D4"/>
    <mergeCell ref="G4:J4"/>
  </mergeCells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Edie Leschber</dc:creator>
  <cp:lastModifiedBy>Haoyu Dong</cp:lastModifiedBy>
  <dcterms:created xsi:type="dcterms:W3CDTF">2001-09-10T15:57:30Z</dcterms:created>
  <dcterms:modified xsi:type="dcterms:W3CDTF">2025-10-26T12:43:32Z</dcterms:modified>
</cp:coreProperties>
</file>